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C:\Users\KapildevVerma\Downloads\"/>
    </mc:Choice>
  </mc:AlternateContent>
  <xr:revisionPtr revIDLastSave="0" documentId="13_ncr:1_{02CDC6CA-E830-4AC3-8B06-2042A10F6514}" xr6:coauthVersionLast="47" xr6:coauthVersionMax="47" xr10:uidLastSave="{00000000-0000-0000-0000-000000000000}"/>
  <bookViews>
    <workbookView xWindow="-110" yWindow="-110" windowWidth="19420" windowHeight="10420" firstSheet="1" activeTab="1" xr2:uid="{00000000-000D-0000-FFFF-FFFF00000000}"/>
  </bookViews>
  <sheets>
    <sheet name="Coffee Can fees" sheetId="1" state="hidden" r:id="rId1"/>
    <sheet name="Fee Calculator" sheetId="8" r:id="rId2"/>
  </sheet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8" i="8" l="1"/>
  <c r="B39" i="8" s="1"/>
  <c r="B40" i="8" s="1"/>
  <c r="B41" i="8" s="1"/>
  <c r="B42" i="8" s="1"/>
  <c r="B43" i="8" s="1"/>
  <c r="B44" i="8" s="1"/>
  <c r="B45" i="8" s="1"/>
  <c r="B46" i="8" s="1"/>
  <c r="B47" i="8" s="1"/>
  <c r="B48" i="8" s="1"/>
  <c r="B49" i="8" s="1"/>
  <c r="B50" i="8" s="1"/>
  <c r="D14" i="8" l="1"/>
  <c r="D9" i="8" l="1"/>
  <c r="D26" i="8" l="1"/>
  <c r="D25" i="8"/>
  <c r="D23" i="8"/>
  <c r="D15" i="8"/>
  <c r="E13" i="8"/>
  <c r="F13" i="8" s="1"/>
  <c r="G13" i="8" s="1"/>
  <c r="H13" i="8" s="1"/>
  <c r="I13" i="8" s="1"/>
  <c r="J13" i="8" s="1"/>
  <c r="K13" i="8" s="1"/>
  <c r="L13" i="8" s="1"/>
  <c r="M13" i="8" s="1"/>
  <c r="D16" i="8" l="1"/>
  <c r="D17" i="8" s="1"/>
  <c r="D19" i="8" s="1"/>
  <c r="D27" i="8"/>
  <c r="D28" i="8" s="1"/>
  <c r="D18" i="8" l="1"/>
  <c r="D20" i="8"/>
  <c r="D21" i="8" l="1"/>
  <c r="D30" i="8" s="1"/>
  <c r="D31" i="8" s="1"/>
  <c r="D29" i="8" l="1"/>
  <c r="D32" i="8"/>
  <c r="E23" i="8"/>
  <c r="E25" i="8"/>
  <c r="E14" i="8" l="1"/>
  <c r="D33" i="8"/>
  <c r="E15" i="8" l="1"/>
  <c r="E16" i="8" s="1"/>
  <c r="E17" i="8" s="1"/>
  <c r="E26" i="8"/>
  <c r="E27" i="8" s="1"/>
  <c r="E28" i="8" s="1"/>
  <c r="E19" i="8"/>
  <c r="E20" i="8" l="1"/>
  <c r="E18" i="8"/>
  <c r="E21" i="8" s="1"/>
  <c r="E29" i="8" l="1"/>
  <c r="E30" i="8"/>
  <c r="E32" i="8" s="1"/>
  <c r="F14" i="8" l="1"/>
  <c r="E33" i="8"/>
  <c r="F23" i="8"/>
  <c r="E31" i="8"/>
  <c r="F25" i="8"/>
  <c r="F15" i="8" l="1"/>
  <c r="F16" i="8" s="1"/>
  <c r="F17" i="8" s="1"/>
  <c r="F19" i="8"/>
  <c r="F26" i="8"/>
  <c r="F27" i="8" s="1"/>
  <c r="F28" i="8" s="1"/>
  <c r="F18" i="8" l="1"/>
  <c r="F20" i="8"/>
  <c r="F21" i="8" l="1"/>
  <c r="F29" i="8" s="1"/>
  <c r="F30" i="8" l="1"/>
  <c r="F31" i="8" s="1"/>
  <c r="G25" i="8"/>
  <c r="F32" i="8"/>
  <c r="G23" i="8" l="1"/>
  <c r="G14" i="8"/>
  <c r="F33" i="8"/>
  <c r="G15" i="8" l="1"/>
  <c r="G16" i="8" s="1"/>
  <c r="G17" i="8" s="1"/>
  <c r="G26" i="8"/>
  <c r="G27" i="8" s="1"/>
  <c r="G28" i="8" s="1"/>
  <c r="G19" i="8"/>
  <c r="G18" i="8" l="1"/>
  <c r="G20" i="8"/>
  <c r="G21" i="8" l="1"/>
  <c r="G29" i="8" s="1"/>
  <c r="G30" i="8" l="1"/>
  <c r="G32" i="8" s="1"/>
  <c r="G33" i="8" s="1"/>
  <c r="H14" i="8" l="1"/>
  <c r="H23" i="8"/>
  <c r="G31" i="8"/>
  <c r="H25" i="8"/>
  <c r="H26" i="8"/>
  <c r="H27" i="8" s="1"/>
  <c r="H28" i="8" s="1"/>
  <c r="H19" i="8"/>
  <c r="H15" i="8"/>
  <c r="H16" i="8" s="1"/>
  <c r="H17" i="8" s="1"/>
  <c r="H20" i="8" l="1"/>
  <c r="H18" i="8"/>
  <c r="H21" i="8" l="1"/>
  <c r="H29" i="8" s="1"/>
  <c r="H30" i="8" l="1"/>
  <c r="H32" i="8" s="1"/>
  <c r="H33" i="8" s="1"/>
  <c r="I14" i="8"/>
  <c r="I25" i="8"/>
  <c r="H31" i="8"/>
  <c r="I23" i="8"/>
  <c r="I19" i="8" l="1"/>
  <c r="I26" i="8"/>
  <c r="I27" i="8" s="1"/>
  <c r="I28" i="8" s="1"/>
  <c r="I15" i="8"/>
  <c r="I16" i="8" s="1"/>
  <c r="I17" i="8" s="1"/>
  <c r="I18" i="8" l="1"/>
  <c r="I20" i="8"/>
  <c r="I21" i="8" l="1"/>
  <c r="I29" i="8" s="1"/>
  <c r="I30" i="8" l="1"/>
  <c r="J25" i="8" s="1"/>
  <c r="J23" i="8"/>
  <c r="I32" i="8" l="1"/>
  <c r="I31" i="8"/>
  <c r="J14" i="8"/>
  <c r="I33" i="8"/>
  <c r="J15" i="8" l="1"/>
  <c r="J16" i="8" s="1"/>
  <c r="J17" i="8" s="1"/>
  <c r="J26" i="8"/>
  <c r="J27" i="8" s="1"/>
  <c r="J28" i="8" s="1"/>
  <c r="J19" i="8"/>
  <c r="J20" i="8" l="1"/>
  <c r="J18" i="8"/>
  <c r="J21" i="8" s="1"/>
  <c r="J30" i="8" l="1"/>
  <c r="J32" i="8" s="1"/>
  <c r="J29" i="8"/>
  <c r="I6" i="1"/>
  <c r="I7" i="1" s="1"/>
  <c r="I8" i="1" s="1"/>
  <c r="I9" i="1" s="1"/>
  <c r="D8" i="1"/>
  <c r="D6" i="1"/>
  <c r="D7" i="1" s="1"/>
  <c r="K14" i="8" l="1"/>
  <c r="J33" i="8"/>
  <c r="J31" i="8"/>
  <c r="K23" i="8"/>
  <c r="K25" i="8"/>
  <c r="I10" i="1"/>
  <c r="D9" i="1"/>
  <c r="K26" i="8" l="1"/>
  <c r="K27" i="8" s="1"/>
  <c r="K28" i="8" s="1"/>
  <c r="K19" i="8"/>
  <c r="K15" i="8"/>
  <c r="K16" i="8" s="1"/>
  <c r="K17" i="8" s="1"/>
  <c r="D10" i="1"/>
  <c r="E5" i="1" s="1"/>
  <c r="J5" i="1"/>
  <c r="K18" i="8" l="1"/>
  <c r="K20" i="8"/>
  <c r="E8" i="1"/>
  <c r="J6" i="1"/>
  <c r="J7" i="1" s="1"/>
  <c r="E6" i="1"/>
  <c r="E7" i="1" s="1"/>
  <c r="K21" i="8" l="1"/>
  <c r="J8" i="1"/>
  <c r="J9" i="1" s="1"/>
  <c r="J10" i="1" s="1"/>
  <c r="E9" i="1"/>
  <c r="K30" i="8" l="1"/>
  <c r="K32" i="8" s="1"/>
  <c r="K29" i="8"/>
  <c r="E10" i="1"/>
  <c r="L14" i="8" l="1"/>
  <c r="K33" i="8"/>
  <c r="L23" i="8"/>
  <c r="K31" i="8"/>
  <c r="L25" i="8"/>
  <c r="L26" i="8" l="1"/>
  <c r="L27" i="8" s="1"/>
  <c r="L28" i="8" s="1"/>
  <c r="L19" i="8"/>
  <c r="L15" i="8"/>
  <c r="L16" i="8" s="1"/>
  <c r="L17" i="8" s="1"/>
  <c r="L20" i="8" l="1"/>
  <c r="L18" i="8"/>
  <c r="L21" i="8" s="1"/>
  <c r="L30" i="8" l="1"/>
  <c r="L32" i="8" s="1"/>
  <c r="L29" i="8"/>
  <c r="M14" i="8" l="1"/>
  <c r="L33" i="8"/>
  <c r="M23" i="8"/>
  <c r="L31" i="8"/>
  <c r="M25" i="8"/>
  <c r="M15" i="8" l="1"/>
  <c r="M16" i="8" s="1"/>
  <c r="M17" i="8" s="1"/>
  <c r="M26" i="8"/>
  <c r="M27" i="8" s="1"/>
  <c r="M28" i="8" s="1"/>
  <c r="M19" i="8"/>
  <c r="M20" i="8" l="1"/>
  <c r="M18" i="8"/>
  <c r="M21" i="8" l="1"/>
  <c r="M29" i="8" s="1"/>
  <c r="M30" i="8" l="1"/>
  <c r="M31" i="8" s="1"/>
  <c r="M32" i="8"/>
  <c r="M33" i="8" s="1"/>
</calcChain>
</file>

<file path=xl/sharedStrings.xml><?xml version="1.0" encoding="utf-8"?>
<sst xmlns="http://schemas.openxmlformats.org/spreadsheetml/2006/main" count="64" uniqueCount="55">
  <si>
    <t>Profit</t>
  </si>
  <si>
    <t>Year</t>
  </si>
  <si>
    <t>Opening capital</t>
  </si>
  <si>
    <t>Add profit</t>
  </si>
  <si>
    <t>Pre- fees AUM</t>
  </si>
  <si>
    <t>Hurdle AUM</t>
  </si>
  <si>
    <t>Fees</t>
  </si>
  <si>
    <t>Ending AUM</t>
  </si>
  <si>
    <t>Variable</t>
  </si>
  <si>
    <t>Fixed</t>
  </si>
  <si>
    <t>Pree fees AUM</t>
  </si>
  <si>
    <t>Avg. AUM</t>
  </si>
  <si>
    <t>Fees @ 2% of  Avg. AUM</t>
  </si>
  <si>
    <t>Return</t>
  </si>
  <si>
    <t>Less: Brokerage &amp; STT &amp; GST</t>
  </si>
  <si>
    <t>Brokerage + STT (incl. GST) in bps</t>
  </si>
  <si>
    <t>Amount on which Hurdle to be calculated (Higher of A or B)</t>
  </si>
  <si>
    <t>Total Fees</t>
  </si>
  <si>
    <t>Other Expenses  in bps</t>
  </si>
  <si>
    <t xml:space="preserve">Capital Contributed / Assets under Management </t>
  </si>
  <si>
    <t xml:space="preserve">Gross Value of the Portfolio at the end of the year </t>
  </si>
  <si>
    <t xml:space="preserve">Brokerage and transaction cost for the illustration purpose is charged on the Average AUM. However, Brokerage and Transaction cost are charged on basis the actuals trades. </t>
  </si>
  <si>
    <t>Less: Other Expenses</t>
  </si>
  <si>
    <t>This is only a generic illustration, fees and charges shall be levied as per the terms and condition of their PMS agreement.</t>
  </si>
  <si>
    <t>Management Fee (%age per annum)</t>
  </si>
  <si>
    <t>Performance fee</t>
  </si>
  <si>
    <t>Hurdle Rate of Return (%age per annum)</t>
  </si>
  <si>
    <t>Gross Value of the Portfolio before Performance fee</t>
  </si>
  <si>
    <t>Portfolio return subject of Performance Fee</t>
  </si>
  <si>
    <t>The above fee calculator shows the High Water Mark to be carried forward in different scenario for equal and fair treatment to the investor.</t>
  </si>
  <si>
    <t>Intial Capital Contribution</t>
  </si>
  <si>
    <t>Assumptions</t>
  </si>
  <si>
    <t>Returns are assumed to be generated linearly through the year.</t>
  </si>
  <si>
    <t>In the illustration, Performance fee is assumed to be charged annually. However, the Portfolio Manager can charge fee at any frequency i.e. Quarterly, Semi-annually, Annually or at any other frequency as defined in the PMS agreement and as permitted under SEBI regulations.</t>
  </si>
  <si>
    <t>For this illustration, Hurdle rate is calculated on Higher of (HWM or previous year closing NAV). However, in actual Hurdle Rate of return is defined in the PMS agreement and may differ from this illustration.</t>
  </si>
  <si>
    <t>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t>
  </si>
  <si>
    <t xml:space="preserve">Daily Weighted Average assets under management </t>
  </si>
  <si>
    <t>Particulars</t>
  </si>
  <si>
    <t>Less: Management Fees</t>
  </si>
  <si>
    <t>Performance Fee</t>
  </si>
  <si>
    <t>All Fees and charges are subject to GST &amp; applicable taxes</t>
  </si>
  <si>
    <t>Other Expenses is charged on Daily Weighted Average assets under management.</t>
  </si>
  <si>
    <t>Notes</t>
  </si>
  <si>
    <t xml:space="preserve">High Watermark (Pre-Fees) shall mean the higher of either ‘corpus investment value’ or ‘highest NAV (before charging Performance Fee)’ on which client has paid a Performance Fee to the Portfolio Manager’. 
</t>
  </si>
  <si>
    <t xml:space="preserve">High Water Mark (Net of Fees)” is the High Watermark (Pre-Fees) minus the performance fee charged, if any, in the relevant period.
</t>
  </si>
  <si>
    <r>
      <t xml:space="preserve">Other  expenses include Account opening fee, Franking notarization, Stamp duty, Custodian fee, Fund accounting charges, registrar and transfer agent fee, depository charges, stamp duty, audit fee, Bank charges legal and professional cost and </t>
    </r>
    <r>
      <rPr>
        <strike/>
        <sz val="11"/>
        <rFont val="Calibri"/>
        <family val="2"/>
        <scheme val="minor"/>
      </rPr>
      <t xml:space="preserve">incidental </t>
    </r>
    <r>
      <rPr>
        <sz val="11"/>
        <rFont val="Calibri"/>
        <family val="2"/>
        <scheme val="minor"/>
      </rPr>
      <t>other miscellaneous expenses, as stated in PMS Agreement and are charged on daily average AUM or at actuals as applicable. Here in fee calculator it is charged on Average AUM and considered as 7 bps, however it will be charged as per PMS Agreement and will be upto 0.5% of AUM</t>
    </r>
  </si>
  <si>
    <r>
      <t>·</t>
    </r>
    <r>
      <rPr>
        <sz val="7"/>
        <rFont val="Times New Roman"/>
        <family val="1"/>
      </rPr>
      <t> </t>
    </r>
    <r>
      <rPr>
        <sz val="11"/>
        <rFont val="Calibri"/>
        <family val="2"/>
      </rPr>
      <t>For US Clients only Brokerage + STT (incl. GST) are charged. Other expenses and Account opening charges are not charged</t>
    </r>
  </si>
  <si>
    <r>
      <t xml:space="preserve">Opening AUM - </t>
    </r>
    <r>
      <rPr>
        <b/>
        <sz val="11"/>
        <rFont val="Calibri"/>
        <family val="2"/>
        <scheme val="minor"/>
      </rPr>
      <t>B</t>
    </r>
  </si>
  <si>
    <r>
      <t xml:space="preserve">High Watermark (Net of Fees) - </t>
    </r>
    <r>
      <rPr>
        <b/>
        <sz val="11"/>
        <rFont val="Calibri"/>
        <family val="2"/>
        <scheme val="minor"/>
      </rPr>
      <t>A</t>
    </r>
  </si>
  <si>
    <r>
      <t>Hurdle AUM is computed by multiplying the hurdle rate with the maximum of Net value of the Portfolio at the end of the previous</t>
    </r>
    <r>
      <rPr>
        <sz val="11"/>
        <color theme="6"/>
        <rFont val="Calibri"/>
        <family val="2"/>
        <scheme val="minor"/>
      </rPr>
      <t xml:space="preserve"> </t>
    </r>
    <r>
      <rPr>
        <sz val="11"/>
        <color theme="1"/>
        <rFont val="Calibri"/>
        <family val="2"/>
        <scheme val="minor"/>
      </rPr>
      <t>year after all fees and expenses or High Watermark (Net of fees) . Assuming performance fee is charged from the portfolio itself.</t>
    </r>
  </si>
  <si>
    <t>% Portfolio return</t>
  </si>
  <si>
    <t>Fee Calculator</t>
  </si>
  <si>
    <t>Please change the cells marked in yellow for various scenarios</t>
  </si>
  <si>
    <t>Please change these cells as per your fee structure.</t>
  </si>
  <si>
    <r>
      <t xml:space="preserve">High Watermark ( Pre-fees) 
</t>
    </r>
    <r>
      <rPr>
        <sz val="11"/>
        <rFont val="Calibri"/>
        <family val="2"/>
        <scheme val="minor"/>
      </rPr>
      <t>(For 1st year it is Capital contributed.
2nd year onwards as defined in the PMS agreement.)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</si>
</sst>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4" x14ac:knownFonts="1">
    <font>
      <sz val="11"/>
      <color theme="1"/>
      <name val="Calibri"/>
      <family val="2"/>
      <scheme val="minor"/>
    </font>
    <font>
      <b/>
      <sz val="11"/>
      <color theme="1"/>
      <name val="Calibri"/>
      <family val="2"/>
      <scheme val="minor"/>
    </font>
    <font>
      <sz val="11"/>
      <color theme="1"/>
      <name val="Calibri"/>
      <family val="2"/>
      <scheme val="minor"/>
    </font>
    <font>
      <sz val="11"/>
      <color theme="6"/>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b/>
      <sz val="11"/>
      <name val="Calibri"/>
      <family val="2"/>
      <scheme val="minor"/>
    </font>
    <font>
      <sz val="7"/>
      <name val="Times New Roman"/>
      <family val="1"/>
    </font>
    <font>
      <sz val="11"/>
      <name val="Calibri"/>
      <family val="2"/>
    </font>
    <font>
      <sz val="11"/>
      <name val="Aptos"/>
      <family val="2"/>
    </font>
    <font>
      <strike/>
      <sz val="11"/>
      <name val="Calibri"/>
      <family val="2"/>
      <scheme val="minor"/>
    </font>
    <font>
      <sz val="9"/>
      <color theme="1"/>
      <name val="Calibri"/>
      <family val="2"/>
      <scheme val="minor"/>
    </font>
    <font>
      <b/>
      <sz val="11"/>
      <color theme="1"/>
      <name val="Aptos"/>
      <family val="2"/>
    </font>
  </fonts>
  <fills count="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164" fontId="2" fillId="0" borderId="0" applyFont="0" applyFill="0" applyBorder="0" applyAlignment="0" applyProtection="0"/>
  </cellStyleXfs>
  <cellXfs count="55">
    <xf numFmtId="0" fontId="0" fillId="0" borderId="0" xfId="0"/>
    <xf numFmtId="0" fontId="1" fillId="0" borderId="1" xfId="0" applyFont="1" applyBorder="1"/>
    <xf numFmtId="9" fontId="1" fillId="0" borderId="1" xfId="0" applyNumberFormat="1" applyFont="1" applyBorder="1"/>
    <xf numFmtId="0" fontId="1" fillId="0" borderId="0" xfId="0" applyFont="1"/>
    <xf numFmtId="0" fontId="0" fillId="0" borderId="1" xfId="0" applyBorder="1"/>
    <xf numFmtId="10" fontId="1" fillId="0" borderId="1" xfId="0" applyNumberFormat="1" applyFont="1" applyBorder="1"/>
    <xf numFmtId="10" fontId="1" fillId="2" borderId="1" xfId="0" applyNumberFormat="1" applyFont="1" applyFill="1" applyBorder="1"/>
    <xf numFmtId="3" fontId="0" fillId="0" borderId="1" xfId="1" applyNumberFormat="1" applyFont="1" applyBorder="1"/>
    <xf numFmtId="3" fontId="0" fillId="4" borderId="1" xfId="1" applyNumberFormat="1" applyFont="1" applyFill="1" applyBorder="1"/>
    <xf numFmtId="3" fontId="1" fillId="0" borderId="0" xfId="0" applyNumberFormat="1" applyFont="1"/>
    <xf numFmtId="3" fontId="0" fillId="0" borderId="0" xfId="0" applyNumberFormat="1"/>
    <xf numFmtId="0" fontId="1" fillId="4" borderId="0" xfId="0" applyFont="1" applyFill="1"/>
    <xf numFmtId="0" fontId="0" fillId="4" borderId="0" xfId="0" applyFill="1"/>
    <xf numFmtId="3" fontId="0" fillId="4" borderId="0" xfId="0" applyNumberFormat="1" applyFill="1"/>
    <xf numFmtId="0" fontId="1" fillId="0" borderId="0" xfId="0" applyFont="1" applyAlignment="1">
      <alignment horizontal="left" vertical="top" wrapText="1"/>
    </xf>
    <xf numFmtId="0" fontId="4" fillId="0" borderId="0" xfId="0" applyFont="1"/>
    <xf numFmtId="0" fontId="6" fillId="0" borderId="2" xfId="0" applyFont="1" applyBorder="1" applyAlignment="1">
      <alignment vertical="center" wrapText="1"/>
    </xf>
    <xf numFmtId="0" fontId="7" fillId="0" borderId="1" xfId="0" applyFont="1" applyBorder="1"/>
    <xf numFmtId="3" fontId="6" fillId="0" borderId="1" xfId="1" applyNumberFormat="1" applyFont="1" applyBorder="1"/>
    <xf numFmtId="0" fontId="6" fillId="0" borderId="1" xfId="0" applyFont="1" applyBorder="1"/>
    <xf numFmtId="0" fontId="7" fillId="0" borderId="1" xfId="0" applyFont="1" applyBorder="1" applyAlignment="1">
      <alignment wrapText="1"/>
    </xf>
    <xf numFmtId="3" fontId="7" fillId="0" borderId="1" xfId="1" applyNumberFormat="1" applyFont="1" applyBorder="1"/>
    <xf numFmtId="3" fontId="6" fillId="3" borderId="1" xfId="1" applyNumberFormat="1" applyFont="1" applyFill="1" applyBorder="1"/>
    <xf numFmtId="0" fontId="6" fillId="3" borderId="1" xfId="0" applyFont="1" applyFill="1" applyBorder="1"/>
    <xf numFmtId="0" fontId="7" fillId="3" borderId="1" xfId="0" applyFont="1" applyFill="1" applyBorder="1" applyAlignment="1">
      <alignment wrapText="1"/>
    </xf>
    <xf numFmtId="3" fontId="7" fillId="3" borderId="1" xfId="1" applyNumberFormat="1" applyFont="1" applyFill="1" applyBorder="1"/>
    <xf numFmtId="10" fontId="7" fillId="0" borderId="1" xfId="0" applyNumberFormat="1" applyFont="1" applyBorder="1"/>
    <xf numFmtId="165" fontId="5" fillId="4" borderId="0" xfId="1" applyNumberFormat="1" applyFont="1" applyFill="1"/>
    <xf numFmtId="0" fontId="6" fillId="0" borderId="1" xfId="0" applyFont="1" applyBorder="1" applyAlignment="1">
      <alignment horizontal="left" vertical="top"/>
    </xf>
    <xf numFmtId="0" fontId="6" fillId="0" borderId="1" xfId="0" applyFont="1" applyBorder="1" applyAlignment="1">
      <alignment horizontal="left" vertical="center" wrapText="1"/>
    </xf>
    <xf numFmtId="0" fontId="6" fillId="0" borderId="1" xfId="0" applyFont="1" applyBorder="1" applyAlignment="1">
      <alignment horizontal="left" vertical="top" wrapText="1"/>
    </xf>
    <xf numFmtId="0" fontId="10" fillId="0" borderId="1" xfId="0" applyFont="1" applyBorder="1" applyAlignment="1">
      <alignment horizontal="left" vertical="top"/>
    </xf>
    <xf numFmtId="0" fontId="0" fillId="4" borderId="1" xfId="0" applyFill="1" applyBorder="1" applyAlignment="1">
      <alignment horizontal="left" vertical="top" wrapText="1"/>
    </xf>
    <xf numFmtId="10" fontId="1" fillId="2" borderId="3" xfId="0" applyNumberFormat="1" applyFont="1" applyFill="1" applyBorder="1"/>
    <xf numFmtId="9" fontId="1" fillId="2" borderId="2" xfId="0" applyNumberFormat="1" applyFont="1" applyFill="1" applyBorder="1"/>
    <xf numFmtId="9" fontId="1" fillId="2" borderId="7" xfId="0" applyNumberFormat="1" applyFont="1" applyFill="1" applyBorder="1"/>
    <xf numFmtId="0" fontId="0" fillId="0" borderId="3" xfId="0" applyBorder="1"/>
    <xf numFmtId="0" fontId="0" fillId="0" borderId="10" xfId="0" applyBorder="1"/>
    <xf numFmtId="0" fontId="0" fillId="0" borderId="11" xfId="0" applyBorder="1"/>
    <xf numFmtId="0" fontId="0" fillId="0" borderId="11" xfId="0" applyBorder="1" applyAlignment="1">
      <alignment vertical="center" wrapText="1"/>
    </xf>
    <xf numFmtId="0" fontId="0" fillId="0" borderId="2" xfId="0" applyBorder="1"/>
    <xf numFmtId="0" fontId="0" fillId="0" borderId="7" xfId="0" applyBorder="1"/>
    <xf numFmtId="165" fontId="1" fillId="0" borderId="12" xfId="1" applyNumberFormat="1" applyFont="1" applyFill="1" applyBorder="1"/>
    <xf numFmtId="165" fontId="1" fillId="0" borderId="13" xfId="1" applyNumberFormat="1" applyFont="1" applyFill="1" applyBorder="1"/>
    <xf numFmtId="0" fontId="13" fillId="0" borderId="14" xfId="0" applyFont="1" applyBorder="1" applyAlignment="1">
      <alignment horizontal="center"/>
    </xf>
    <xf numFmtId="0" fontId="13" fillId="0" borderId="15" xfId="0" applyFont="1" applyBorder="1" applyAlignment="1">
      <alignment horizontal="center"/>
    </xf>
    <xf numFmtId="0" fontId="13" fillId="0" borderId="16" xfId="0" applyFont="1" applyBorder="1" applyAlignment="1">
      <alignment horizontal="center"/>
    </xf>
    <xf numFmtId="0" fontId="0" fillId="2" borderId="4" xfId="0" applyFill="1" applyBorder="1" applyAlignment="1">
      <alignment horizontal="center"/>
    </xf>
    <xf numFmtId="0" fontId="12" fillId="0" borderId="0" xfId="0" applyFont="1" applyFill="1" applyBorder="1" applyAlignment="1">
      <alignment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J10"/>
  <sheetViews>
    <sheetView workbookViewId="0">
      <selection activeCell="A7" sqref="A7"/>
    </sheetView>
  </sheetViews>
  <sheetFormatPr defaultRowHeight="14.5" x14ac:dyDescent="0.35"/>
  <cols>
    <col min="3" max="3" width="15" bestFit="1" customWidth="1"/>
    <col min="8" max="8" width="22.81640625" bestFit="1" customWidth="1"/>
  </cols>
  <sheetData>
    <row r="2" spans="3:10" x14ac:dyDescent="0.35">
      <c r="C2" s="3" t="s">
        <v>8</v>
      </c>
      <c r="H2" s="3" t="s">
        <v>9</v>
      </c>
    </row>
    <row r="3" spans="3:10" s="3" customFormat="1" x14ac:dyDescent="0.35">
      <c r="C3" s="1" t="s">
        <v>0</v>
      </c>
      <c r="D3" s="2">
        <v>0.2</v>
      </c>
      <c r="E3" s="5">
        <v>0.22500000000000001</v>
      </c>
      <c r="H3" s="1" t="s">
        <v>0</v>
      </c>
      <c r="I3" s="2">
        <v>0.05</v>
      </c>
      <c r="J3" s="2">
        <v>0.25</v>
      </c>
    </row>
    <row r="4" spans="3:10" s="3" customFormat="1" x14ac:dyDescent="0.35">
      <c r="C4" s="1" t="s">
        <v>1</v>
      </c>
      <c r="D4" s="1">
        <v>1</v>
      </c>
      <c r="E4" s="1">
        <v>2</v>
      </c>
      <c r="H4" s="1" t="s">
        <v>1</v>
      </c>
      <c r="I4" s="1">
        <v>1</v>
      </c>
      <c r="J4" s="1">
        <v>2</v>
      </c>
    </row>
    <row r="5" spans="3:10" x14ac:dyDescent="0.35">
      <c r="C5" s="4" t="s">
        <v>2</v>
      </c>
      <c r="D5" s="4">
        <v>100</v>
      </c>
      <c r="E5" s="4">
        <f>+D10</f>
        <v>117.6</v>
      </c>
      <c r="H5" s="4" t="s">
        <v>2</v>
      </c>
      <c r="I5" s="4">
        <v>100</v>
      </c>
      <c r="J5" s="4">
        <f>+I10</f>
        <v>102.95</v>
      </c>
    </row>
    <row r="6" spans="3:10" x14ac:dyDescent="0.35">
      <c r="C6" s="4" t="s">
        <v>3</v>
      </c>
      <c r="D6" s="4">
        <f>+D5*D3</f>
        <v>20</v>
      </c>
      <c r="E6" s="4">
        <f>+E5*E3</f>
        <v>26.46</v>
      </c>
      <c r="H6" s="4" t="s">
        <v>3</v>
      </c>
      <c r="I6" s="4">
        <f>+I5*I3</f>
        <v>5</v>
      </c>
      <c r="J6" s="4">
        <f>+J5*J3</f>
        <v>25.737500000000001</v>
      </c>
    </row>
    <row r="7" spans="3:10" x14ac:dyDescent="0.35">
      <c r="C7" s="4" t="s">
        <v>4</v>
      </c>
      <c r="D7" s="4">
        <f>SUM(D5:D6)</f>
        <v>120</v>
      </c>
      <c r="E7" s="4">
        <f>SUM(E5:E6)</f>
        <v>144.06</v>
      </c>
      <c r="H7" s="4" t="s">
        <v>10</v>
      </c>
      <c r="I7" s="4">
        <f>+I5+I6</f>
        <v>105</v>
      </c>
      <c r="J7" s="4">
        <f>+J5+J6</f>
        <v>128.6875</v>
      </c>
    </row>
    <row r="8" spans="3:10" x14ac:dyDescent="0.35">
      <c r="C8" s="4" t="s">
        <v>5</v>
      </c>
      <c r="D8" s="4">
        <f>+D5*1.08</f>
        <v>108</v>
      </c>
      <c r="E8" s="4">
        <f>+MAX(D8,D10)*1.08</f>
        <v>127.008</v>
      </c>
      <c r="H8" s="4" t="s">
        <v>11</v>
      </c>
      <c r="I8" s="4">
        <f>+(I7+I5)/2</f>
        <v>102.5</v>
      </c>
      <c r="J8" s="4">
        <f>+(J7+J5)/2</f>
        <v>115.81874999999999</v>
      </c>
    </row>
    <row r="9" spans="3:10" s="3" customFormat="1" x14ac:dyDescent="0.35">
      <c r="C9" s="1" t="s">
        <v>6</v>
      </c>
      <c r="D9" s="1">
        <f>+MAX(D7-D8,0)*0.2</f>
        <v>2.4000000000000004</v>
      </c>
      <c r="E9" s="1">
        <f>+MAX(E7-E8,0)*0.2</f>
        <v>3.4104000000000014</v>
      </c>
      <c r="H9" s="1" t="s">
        <v>12</v>
      </c>
      <c r="I9" s="1">
        <f>+I8*0.02</f>
        <v>2.0499999999999998</v>
      </c>
      <c r="J9" s="1">
        <f>+J8*0.02</f>
        <v>2.3163749999999999</v>
      </c>
    </row>
    <row r="10" spans="3:10" x14ac:dyDescent="0.35">
      <c r="C10" s="4" t="s">
        <v>7</v>
      </c>
      <c r="D10" s="4">
        <f>+D7-D9</f>
        <v>117.6</v>
      </c>
      <c r="E10" s="4">
        <f>+E7-E9</f>
        <v>140.64959999999999</v>
      </c>
      <c r="H10" s="4" t="s">
        <v>7</v>
      </c>
      <c r="I10" s="4">
        <f>+I7-I9</f>
        <v>102.95</v>
      </c>
      <c r="J10" s="4">
        <f>+J7-J9</f>
        <v>126.37112500000001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99B99-EA7B-4FF5-83C0-04F7B74C886F}">
  <dimension ref="B1:N50"/>
  <sheetViews>
    <sheetView showGridLines="0" tabSelected="1" topLeftCell="B1" workbookViewId="0">
      <selection activeCell="E4" sqref="E4"/>
    </sheetView>
  </sheetViews>
  <sheetFormatPr defaultRowHeight="14.5" x14ac:dyDescent="0.35"/>
  <cols>
    <col min="2" max="2" width="4.81640625" customWidth="1"/>
    <col min="3" max="3" width="36.81640625" customWidth="1"/>
    <col min="4" max="4" width="16.36328125" customWidth="1"/>
    <col min="5" max="13" width="10.453125" bestFit="1" customWidth="1"/>
    <col min="14" max="14" width="13.1796875" customWidth="1"/>
  </cols>
  <sheetData>
    <row r="1" spans="3:13" ht="15" thickBot="1" x14ac:dyDescent="0.4">
      <c r="C1" s="44" t="s">
        <v>51</v>
      </c>
      <c r="D1" s="45"/>
      <c r="E1" s="45"/>
      <c r="F1" s="45"/>
      <c r="G1" s="45"/>
      <c r="H1" s="45"/>
      <c r="I1" s="45"/>
      <c r="J1" s="45"/>
      <c r="K1" s="45"/>
      <c r="L1" s="45"/>
      <c r="M1" s="46"/>
    </row>
    <row r="2" spans="3:13" x14ac:dyDescent="0.35">
      <c r="C2" s="47" t="s">
        <v>52</v>
      </c>
      <c r="D2" s="47"/>
      <c r="E2" s="47"/>
      <c r="F2" s="47"/>
      <c r="G2" s="47"/>
      <c r="H2" s="47"/>
      <c r="I2" s="47"/>
      <c r="J2" s="47"/>
      <c r="K2" s="47"/>
      <c r="L2" s="47"/>
      <c r="M2" s="47"/>
    </row>
    <row r="3" spans="3:13" ht="15" thickBot="1" x14ac:dyDescent="0.4">
      <c r="C3" t="s">
        <v>31</v>
      </c>
    </row>
    <row r="4" spans="3:13" ht="15" thickBot="1" x14ac:dyDescent="0.4">
      <c r="C4" s="36" t="s">
        <v>30</v>
      </c>
      <c r="D4" s="37">
        <v>5000000</v>
      </c>
    </row>
    <row r="5" spans="3:13" ht="14.5" customHeight="1" x14ac:dyDescent="0.35">
      <c r="C5" s="38" t="s">
        <v>24</v>
      </c>
      <c r="D5" s="33">
        <v>0.01</v>
      </c>
      <c r="E5" s="49" t="s">
        <v>53</v>
      </c>
      <c r="F5" s="49"/>
      <c r="G5" s="50"/>
      <c r="H5" s="48"/>
      <c r="I5" s="48"/>
      <c r="J5" s="48"/>
      <c r="K5" s="48"/>
      <c r="L5" s="48"/>
      <c r="M5" s="48"/>
    </row>
    <row r="6" spans="3:13" x14ac:dyDescent="0.35">
      <c r="C6" s="39" t="s">
        <v>25</v>
      </c>
      <c r="D6" s="34">
        <v>0.15</v>
      </c>
      <c r="E6" s="51"/>
      <c r="F6" s="51"/>
      <c r="G6" s="52"/>
      <c r="H6" s="48"/>
      <c r="I6" s="48"/>
      <c r="J6" s="48"/>
      <c r="K6" s="48"/>
      <c r="L6" s="48"/>
      <c r="M6" s="48"/>
    </row>
    <row r="7" spans="3:13" ht="15" thickBot="1" x14ac:dyDescent="0.4">
      <c r="C7" s="38" t="s">
        <v>26</v>
      </c>
      <c r="D7" s="35">
        <v>0.12</v>
      </c>
      <c r="E7" s="53"/>
      <c r="F7" s="53"/>
      <c r="G7" s="54"/>
      <c r="H7" s="48"/>
      <c r="I7" s="48"/>
      <c r="J7" s="48"/>
      <c r="K7" s="48"/>
      <c r="L7" s="48"/>
      <c r="M7" s="48"/>
    </row>
    <row r="8" spans="3:13" x14ac:dyDescent="0.35">
      <c r="C8" s="40" t="s">
        <v>15</v>
      </c>
      <c r="D8" s="42">
        <v>16</v>
      </c>
    </row>
    <row r="9" spans="3:13" ht="15" thickBot="1" x14ac:dyDescent="0.4">
      <c r="C9" s="41" t="s">
        <v>18</v>
      </c>
      <c r="D9" s="43">
        <f>6*1.18</f>
        <v>7.08</v>
      </c>
    </row>
    <row r="10" spans="3:13" x14ac:dyDescent="0.35">
      <c r="C10" s="15"/>
      <c r="D10" s="27"/>
    </row>
    <row r="11" spans="3:13" x14ac:dyDescent="0.35">
      <c r="C11" s="3" t="s">
        <v>37</v>
      </c>
    </row>
    <row r="12" spans="3:13" x14ac:dyDescent="0.35">
      <c r="C12" s="1" t="s">
        <v>13</v>
      </c>
      <c r="D12" s="6">
        <v>-0.2</v>
      </c>
      <c r="E12" s="6">
        <v>0.4</v>
      </c>
      <c r="F12" s="6">
        <v>0</v>
      </c>
      <c r="G12" s="6">
        <v>0.25</v>
      </c>
      <c r="H12" s="6">
        <v>0.1</v>
      </c>
      <c r="I12" s="6">
        <v>-0.05</v>
      </c>
      <c r="J12" s="6">
        <v>0.18</v>
      </c>
      <c r="K12" s="6">
        <v>0.12</v>
      </c>
      <c r="L12" s="6">
        <v>0.15</v>
      </c>
      <c r="M12" s="6">
        <v>0.2</v>
      </c>
    </row>
    <row r="13" spans="3:13" x14ac:dyDescent="0.35">
      <c r="C13" s="1" t="s">
        <v>1</v>
      </c>
      <c r="D13" s="1">
        <v>1</v>
      </c>
      <c r="E13" s="1">
        <f>+D13+1</f>
        <v>2</v>
      </c>
      <c r="F13" s="1">
        <f t="shared" ref="F13:M13" si="0">+E13+1</f>
        <v>3</v>
      </c>
      <c r="G13" s="1">
        <f t="shared" si="0"/>
        <v>4</v>
      </c>
      <c r="H13" s="1">
        <f t="shared" si="0"/>
        <v>5</v>
      </c>
      <c r="I13" s="1">
        <f t="shared" si="0"/>
        <v>6</v>
      </c>
      <c r="J13" s="1">
        <f t="shared" si="0"/>
        <v>7</v>
      </c>
      <c r="K13" s="1">
        <f t="shared" si="0"/>
        <v>8</v>
      </c>
      <c r="L13" s="1">
        <f t="shared" si="0"/>
        <v>9</v>
      </c>
      <c r="M13" s="1">
        <f t="shared" si="0"/>
        <v>10</v>
      </c>
    </row>
    <row r="14" spans="3:13" x14ac:dyDescent="0.35">
      <c r="C14" s="4" t="s">
        <v>19</v>
      </c>
      <c r="D14" s="8">
        <f>D4</f>
        <v>5000000</v>
      </c>
      <c r="E14" s="7">
        <f>+D32</f>
        <v>3944614</v>
      </c>
      <c r="F14" s="7">
        <f t="shared" ref="F14:M14" si="1">+E32</f>
        <v>5464757.7864079997</v>
      </c>
      <c r="G14" s="7">
        <f t="shared" si="1"/>
        <v>5397497.5475728903</v>
      </c>
      <c r="H14" s="7">
        <f t="shared" si="1"/>
        <v>6578500.7767178593</v>
      </c>
      <c r="I14" s="7">
        <f t="shared" si="1"/>
        <v>7151567.1363793053</v>
      </c>
      <c r="J14" s="7">
        <f t="shared" si="1"/>
        <v>6708041.2457153331</v>
      </c>
      <c r="K14" s="7">
        <f t="shared" si="1"/>
        <v>7778985.3970267819</v>
      </c>
      <c r="L14" s="7">
        <f t="shared" si="1"/>
        <v>8611305.7185670603</v>
      </c>
      <c r="M14" s="7">
        <f t="shared" si="1"/>
        <v>9767792.881873183</v>
      </c>
    </row>
    <row r="15" spans="3:13" x14ac:dyDescent="0.35">
      <c r="C15" s="4" t="s">
        <v>3</v>
      </c>
      <c r="D15" s="7">
        <f>+D14*D12</f>
        <v>-1000000</v>
      </c>
      <c r="E15" s="7">
        <f>+E14*E12</f>
        <v>1577845.6</v>
      </c>
      <c r="F15" s="7">
        <f t="shared" ref="F15:M15" si="2">+F14*F12</f>
        <v>0</v>
      </c>
      <c r="G15" s="7">
        <f t="shared" si="2"/>
        <v>1349374.3868932226</v>
      </c>
      <c r="H15" s="7">
        <f t="shared" si="2"/>
        <v>657850.07767178596</v>
      </c>
      <c r="I15" s="7">
        <f t="shared" si="2"/>
        <v>-357578.35681896529</v>
      </c>
      <c r="J15" s="7">
        <f t="shared" si="2"/>
        <v>1207447.4242287599</v>
      </c>
      <c r="K15" s="7">
        <f t="shared" si="2"/>
        <v>933478.24764321384</v>
      </c>
      <c r="L15" s="7">
        <f t="shared" si="2"/>
        <v>1291695.8577850589</v>
      </c>
      <c r="M15" s="7">
        <f t="shared" si="2"/>
        <v>1953558.5763746367</v>
      </c>
    </row>
    <row r="16" spans="3:13" x14ac:dyDescent="0.35">
      <c r="C16" s="19" t="s">
        <v>20</v>
      </c>
      <c r="D16" s="18">
        <f>SUM(D14:D15)</f>
        <v>4000000</v>
      </c>
      <c r="E16" s="18">
        <f t="shared" ref="E16:M16" si="3">SUM(E14:E15)</f>
        <v>5522459.5999999996</v>
      </c>
      <c r="F16" s="18">
        <f t="shared" si="3"/>
        <v>5464757.7864079997</v>
      </c>
      <c r="G16" s="18">
        <f t="shared" si="3"/>
        <v>6746871.9344661124</v>
      </c>
      <c r="H16" s="18">
        <f t="shared" si="3"/>
        <v>7236350.8543896452</v>
      </c>
      <c r="I16" s="18">
        <f t="shared" si="3"/>
        <v>6793988.7795603396</v>
      </c>
      <c r="J16" s="18">
        <f t="shared" si="3"/>
        <v>7915488.6699440926</v>
      </c>
      <c r="K16" s="18">
        <f t="shared" si="3"/>
        <v>8712463.6446699966</v>
      </c>
      <c r="L16" s="18">
        <f t="shared" si="3"/>
        <v>9903001.5763521194</v>
      </c>
      <c r="M16" s="18">
        <f t="shared" si="3"/>
        <v>11721351.45824782</v>
      </c>
    </row>
    <row r="17" spans="3:14" ht="29" x14ac:dyDescent="0.35">
      <c r="C17" s="16" t="s">
        <v>36</v>
      </c>
      <c r="D17" s="18">
        <f>AVERAGE(D14,D16)</f>
        <v>4500000</v>
      </c>
      <c r="E17" s="18">
        <f t="shared" ref="E17:M17" si="4">AVERAGE(E14,E16)</f>
        <v>4733536.8</v>
      </c>
      <c r="F17" s="18">
        <f t="shared" si="4"/>
        <v>5464757.7864079997</v>
      </c>
      <c r="G17" s="18">
        <f t="shared" si="4"/>
        <v>6072184.7410195014</v>
      </c>
      <c r="H17" s="18">
        <f t="shared" si="4"/>
        <v>6907425.8155537527</v>
      </c>
      <c r="I17" s="18">
        <f t="shared" si="4"/>
        <v>6972777.957969822</v>
      </c>
      <c r="J17" s="18">
        <f t="shared" si="4"/>
        <v>7311764.9578297129</v>
      </c>
      <c r="K17" s="18">
        <f t="shared" si="4"/>
        <v>8245724.5208483897</v>
      </c>
      <c r="L17" s="18">
        <f t="shared" si="4"/>
        <v>9257153.6474595889</v>
      </c>
      <c r="M17" s="18">
        <f t="shared" si="4"/>
        <v>10744572.170060501</v>
      </c>
    </row>
    <row r="18" spans="3:14" x14ac:dyDescent="0.35">
      <c r="C18" s="19" t="s">
        <v>14</v>
      </c>
      <c r="D18" s="18">
        <f t="shared" ref="D18:M18" si="5">D17*$D$8/10000</f>
        <v>7200</v>
      </c>
      <c r="E18" s="18">
        <f t="shared" si="5"/>
        <v>7573.65888</v>
      </c>
      <c r="F18" s="18">
        <f t="shared" si="5"/>
        <v>8743.6124582527991</v>
      </c>
      <c r="G18" s="18">
        <f t="shared" si="5"/>
        <v>9715.4955856312026</v>
      </c>
      <c r="H18" s="18">
        <f t="shared" si="5"/>
        <v>11051.881304886005</v>
      </c>
      <c r="I18" s="18">
        <f t="shared" si="5"/>
        <v>11156.444732751715</v>
      </c>
      <c r="J18" s="18">
        <f t="shared" si="5"/>
        <v>11698.823932527541</v>
      </c>
      <c r="K18" s="18">
        <f t="shared" si="5"/>
        <v>13193.159233357423</v>
      </c>
      <c r="L18" s="18">
        <f t="shared" si="5"/>
        <v>14811.445835935343</v>
      </c>
      <c r="M18" s="18">
        <f t="shared" si="5"/>
        <v>17191.315472096801</v>
      </c>
    </row>
    <row r="19" spans="3:14" x14ac:dyDescent="0.35">
      <c r="C19" s="19" t="s">
        <v>22</v>
      </c>
      <c r="D19" s="18">
        <f>D17*$D$9/10000</f>
        <v>3186</v>
      </c>
      <c r="E19" s="18">
        <f t="shared" ref="E19:M19" si="6">E14*$D$9/10000</f>
        <v>2792.7867120000001</v>
      </c>
      <c r="F19" s="18">
        <f t="shared" si="6"/>
        <v>3869.0485127768634</v>
      </c>
      <c r="G19" s="18">
        <f t="shared" si="6"/>
        <v>3821.428263681606</v>
      </c>
      <c r="H19" s="18">
        <f t="shared" si="6"/>
        <v>4657.5785499162439</v>
      </c>
      <c r="I19" s="18">
        <f t="shared" si="6"/>
        <v>5063.3095325565482</v>
      </c>
      <c r="J19" s="18">
        <f t="shared" si="6"/>
        <v>4749.2932019664559</v>
      </c>
      <c r="K19" s="18">
        <f t="shared" si="6"/>
        <v>5507.521661094961</v>
      </c>
      <c r="L19" s="18">
        <f t="shared" si="6"/>
        <v>6096.804448745479</v>
      </c>
      <c r="M19" s="18">
        <f t="shared" si="6"/>
        <v>6915.5973603662133</v>
      </c>
    </row>
    <row r="20" spans="3:14" x14ac:dyDescent="0.35">
      <c r="C20" s="17" t="s">
        <v>38</v>
      </c>
      <c r="D20" s="18">
        <f t="shared" ref="D20:M20" si="7">D17*$D$5</f>
        <v>45000</v>
      </c>
      <c r="E20" s="18">
        <f t="shared" si="7"/>
        <v>47335.368000000002</v>
      </c>
      <c r="F20" s="18">
        <f t="shared" si="7"/>
        <v>54647.577864079998</v>
      </c>
      <c r="G20" s="18">
        <f t="shared" si="7"/>
        <v>60721.847410195012</v>
      </c>
      <c r="H20" s="18">
        <f t="shared" si="7"/>
        <v>69074.258155537522</v>
      </c>
      <c r="I20" s="18">
        <f t="shared" si="7"/>
        <v>69727.779579698225</v>
      </c>
      <c r="J20" s="18">
        <f t="shared" si="7"/>
        <v>73117.649578297132</v>
      </c>
      <c r="K20" s="18">
        <f t="shared" si="7"/>
        <v>82457.245208483902</v>
      </c>
      <c r="L20" s="18">
        <f t="shared" si="7"/>
        <v>92571.536474595894</v>
      </c>
      <c r="M20" s="18">
        <f t="shared" si="7"/>
        <v>107445.72170060501</v>
      </c>
      <c r="N20" s="10"/>
    </row>
    <row r="21" spans="3:14" ht="29" x14ac:dyDescent="0.35">
      <c r="C21" s="20" t="s">
        <v>27</v>
      </c>
      <c r="D21" s="21">
        <f t="shared" ref="D21:M21" si="8">SUM(D14:D15)-SUM(D18:D20)</f>
        <v>3944614</v>
      </c>
      <c r="E21" s="21">
        <f t="shared" si="8"/>
        <v>5464757.7864079997</v>
      </c>
      <c r="F21" s="21">
        <f t="shared" si="8"/>
        <v>5397497.5475728903</v>
      </c>
      <c r="G21" s="21">
        <f t="shared" si="8"/>
        <v>6672613.1632066043</v>
      </c>
      <c r="H21" s="21">
        <f t="shared" si="8"/>
        <v>7151567.1363793053</v>
      </c>
      <c r="I21" s="21">
        <f t="shared" si="8"/>
        <v>6708041.2457153331</v>
      </c>
      <c r="J21" s="21">
        <f t="shared" si="8"/>
        <v>7825922.9032313013</v>
      </c>
      <c r="K21" s="21">
        <f t="shared" si="8"/>
        <v>8611305.7185670603</v>
      </c>
      <c r="L21" s="21">
        <f t="shared" si="8"/>
        <v>9789521.7895928435</v>
      </c>
      <c r="M21" s="21">
        <f t="shared" si="8"/>
        <v>11589798.823714752</v>
      </c>
      <c r="N21" s="9"/>
    </row>
    <row r="22" spans="3:14" x14ac:dyDescent="0.35">
      <c r="C22" s="17"/>
      <c r="D22" s="21"/>
      <c r="E22" s="21"/>
      <c r="F22" s="21"/>
      <c r="G22" s="21"/>
      <c r="H22" s="21"/>
      <c r="I22" s="21"/>
      <c r="J22" s="21"/>
      <c r="K22" s="21"/>
      <c r="L22" s="21"/>
      <c r="M22" s="21"/>
      <c r="N22" s="3"/>
    </row>
    <row r="23" spans="3:14" ht="58" x14ac:dyDescent="0.35">
      <c r="C23" s="20" t="s">
        <v>54</v>
      </c>
      <c r="D23" s="21">
        <f>D14</f>
        <v>5000000</v>
      </c>
      <c r="E23" s="21">
        <f>IF(D30&lt;=0,D23,MAX(D23,D21))</f>
        <v>5000000</v>
      </c>
      <c r="F23" s="21">
        <f t="shared" ref="F23:M23" si="9">IF(E30&lt;=0,E23,MAX(E23,E21))</f>
        <v>5000000</v>
      </c>
      <c r="G23" s="21">
        <f t="shared" si="9"/>
        <v>5000000</v>
      </c>
      <c r="H23" s="21">
        <f t="shared" si="9"/>
        <v>6672613.1632066043</v>
      </c>
      <c r="I23" s="21">
        <f>IF(H30&lt;=0,H23,MAX(H23,H21))</f>
        <v>6672613.1632066043</v>
      </c>
      <c r="J23" s="21">
        <f>IF(I30&lt;=0,I23,MAX(I23,I21))</f>
        <v>6672613.1632066043</v>
      </c>
      <c r="K23" s="21">
        <f t="shared" si="9"/>
        <v>7825922.9032313013</v>
      </c>
      <c r="L23" s="21">
        <f t="shared" si="9"/>
        <v>7825922.9032313013</v>
      </c>
      <c r="M23" s="21">
        <f t="shared" si="9"/>
        <v>9789521.7895928435</v>
      </c>
      <c r="N23" s="3"/>
    </row>
    <row r="24" spans="3:14" x14ac:dyDescent="0.35">
      <c r="C24" s="17"/>
      <c r="D24" s="21"/>
      <c r="E24" s="21"/>
      <c r="F24" s="21"/>
      <c r="G24" s="21"/>
      <c r="H24" s="21"/>
      <c r="I24" s="21"/>
      <c r="J24" s="21"/>
      <c r="K24" s="21"/>
      <c r="L24" s="21"/>
      <c r="M24" s="21"/>
      <c r="N24" s="3"/>
    </row>
    <row r="25" spans="3:14" x14ac:dyDescent="0.35">
      <c r="C25" s="23" t="s">
        <v>48</v>
      </c>
      <c r="D25" s="22">
        <f>D14</f>
        <v>5000000</v>
      </c>
      <c r="E25" s="22">
        <f t="shared" ref="E25:M25" si="10">IF(D30&lt;=0,D25,MAX(D25,D32))</f>
        <v>5000000</v>
      </c>
      <c r="F25" s="22">
        <f t="shared" si="10"/>
        <v>5000000</v>
      </c>
      <c r="G25" s="22">
        <f>IF(F30&lt;=0,F25,MAX(F25,F32))</f>
        <v>5000000</v>
      </c>
      <c r="H25" s="22">
        <f>IF(G30&lt;=0,G25,MAX(G25,G32))</f>
        <v>6578500.7767178593</v>
      </c>
      <c r="I25" s="22">
        <f>IF(H30&lt;=0,H25,MAX(H25,H32))</f>
        <v>6578500.7767178593</v>
      </c>
      <c r="J25" s="22">
        <f>IF(I30&lt;=0,I25,MAX(I25,I32))</f>
        <v>6578500.7767178593</v>
      </c>
      <c r="K25" s="22">
        <f t="shared" si="10"/>
        <v>7778985.3970267819</v>
      </c>
      <c r="L25" s="22">
        <f t="shared" si="10"/>
        <v>7778985.3970267819</v>
      </c>
      <c r="M25" s="22">
        <f t="shared" si="10"/>
        <v>9767792.881873183</v>
      </c>
      <c r="N25" s="11"/>
    </row>
    <row r="26" spans="3:14" x14ac:dyDescent="0.35">
      <c r="C26" s="23" t="s">
        <v>47</v>
      </c>
      <c r="D26" s="22">
        <f t="shared" ref="D26:M26" si="11">D14</f>
        <v>5000000</v>
      </c>
      <c r="E26" s="22">
        <f t="shared" si="11"/>
        <v>3944614</v>
      </c>
      <c r="F26" s="22">
        <f t="shared" si="11"/>
        <v>5464757.7864079997</v>
      </c>
      <c r="G26" s="22">
        <f t="shared" si="11"/>
        <v>5397497.5475728903</v>
      </c>
      <c r="H26" s="22">
        <f t="shared" si="11"/>
        <v>6578500.7767178593</v>
      </c>
      <c r="I26" s="22">
        <f t="shared" si="11"/>
        <v>7151567.1363793053</v>
      </c>
      <c r="J26" s="22">
        <f t="shared" si="11"/>
        <v>6708041.2457153331</v>
      </c>
      <c r="K26" s="22">
        <f t="shared" si="11"/>
        <v>7778985.3970267819</v>
      </c>
      <c r="L26" s="22">
        <f t="shared" si="11"/>
        <v>8611305.7185670603</v>
      </c>
      <c r="M26" s="22">
        <f t="shared" si="11"/>
        <v>9767792.881873183</v>
      </c>
      <c r="N26" s="11"/>
    </row>
    <row r="27" spans="3:14" ht="29" x14ac:dyDescent="0.35">
      <c r="C27" s="24" t="s">
        <v>16</v>
      </c>
      <c r="D27" s="25">
        <f>MAX(D25,D26)</f>
        <v>5000000</v>
      </c>
      <c r="E27" s="25">
        <f t="shared" ref="E27:M27" si="12">MAX(E25,E26)</f>
        <v>5000000</v>
      </c>
      <c r="F27" s="25">
        <f t="shared" si="12"/>
        <v>5464757.7864079997</v>
      </c>
      <c r="G27" s="25">
        <f t="shared" si="12"/>
        <v>5397497.5475728903</v>
      </c>
      <c r="H27" s="25">
        <f t="shared" si="12"/>
        <v>6578500.7767178593</v>
      </c>
      <c r="I27" s="25">
        <f>MAX(I25,I26)</f>
        <v>7151567.1363793053</v>
      </c>
      <c r="J27" s="25">
        <f>MAX(J25,J26)</f>
        <v>6708041.2457153331</v>
      </c>
      <c r="K27" s="25">
        <f t="shared" si="12"/>
        <v>7778985.3970267819</v>
      </c>
      <c r="L27" s="25">
        <f t="shared" si="12"/>
        <v>8611305.7185670603</v>
      </c>
      <c r="M27" s="25">
        <f t="shared" si="12"/>
        <v>9767792.881873183</v>
      </c>
      <c r="N27" s="11"/>
    </row>
    <row r="28" spans="3:14" x14ac:dyDescent="0.35">
      <c r="C28" s="19" t="s">
        <v>5</v>
      </c>
      <c r="D28" s="18">
        <f t="shared" ref="D28:M28" si="13">D27*(1+$D$7)</f>
        <v>5600000.0000000009</v>
      </c>
      <c r="E28" s="18">
        <f t="shared" si="13"/>
        <v>5600000.0000000009</v>
      </c>
      <c r="F28" s="18">
        <f t="shared" si="13"/>
        <v>6120528.7207769603</v>
      </c>
      <c r="G28" s="18">
        <f t="shared" si="13"/>
        <v>6045197.253281638</v>
      </c>
      <c r="H28" s="18">
        <f t="shared" si="13"/>
        <v>7367920.8699240033</v>
      </c>
      <c r="I28" s="18">
        <f t="shared" si="13"/>
        <v>8009755.1927448222</v>
      </c>
      <c r="J28" s="18">
        <f t="shared" si="13"/>
        <v>7513006.1952011734</v>
      </c>
      <c r="K28" s="18">
        <f t="shared" si="13"/>
        <v>8712463.6446699966</v>
      </c>
      <c r="L28" s="18">
        <f t="shared" si="13"/>
        <v>9644662.4047951084</v>
      </c>
      <c r="M28" s="18">
        <f t="shared" si="13"/>
        <v>10939928.027697966</v>
      </c>
      <c r="N28" s="12"/>
    </row>
    <row r="29" spans="3:14" x14ac:dyDescent="0.35">
      <c r="C29" s="19" t="s">
        <v>28</v>
      </c>
      <c r="D29" s="18">
        <f>D21-D28</f>
        <v>-1655386.0000000009</v>
      </c>
      <c r="E29" s="18">
        <f t="shared" ref="E29:M29" si="14">E21-E28</f>
        <v>-135242.21359200124</v>
      </c>
      <c r="F29" s="18">
        <f t="shared" si="14"/>
        <v>-723031.17320406996</v>
      </c>
      <c r="G29" s="18">
        <f t="shared" si="14"/>
        <v>627415.90992496628</v>
      </c>
      <c r="H29" s="18">
        <f t="shared" si="14"/>
        <v>-216353.73354469799</v>
      </c>
      <c r="I29" s="18">
        <f t="shared" si="14"/>
        <v>-1301713.9470294891</v>
      </c>
      <c r="J29" s="18">
        <f t="shared" si="14"/>
        <v>312916.70803012792</v>
      </c>
      <c r="K29" s="18">
        <f t="shared" si="14"/>
        <v>-101157.92610293627</v>
      </c>
      <c r="L29" s="18">
        <f t="shared" si="14"/>
        <v>144859.38479773514</v>
      </c>
      <c r="M29" s="18">
        <f t="shared" si="14"/>
        <v>649870.79601678625</v>
      </c>
      <c r="N29" s="12"/>
    </row>
    <row r="30" spans="3:14" x14ac:dyDescent="0.35">
      <c r="C30" s="17" t="s">
        <v>39</v>
      </c>
      <c r="D30" s="21">
        <f t="shared" ref="D30:M30" si="15">MAX(D21-D28,0)*$D$6</f>
        <v>0</v>
      </c>
      <c r="E30" s="21">
        <f t="shared" si="15"/>
        <v>0</v>
      </c>
      <c r="F30" s="21">
        <f t="shared" si="15"/>
        <v>0</v>
      </c>
      <c r="G30" s="21">
        <f t="shared" si="15"/>
        <v>94112.386488744945</v>
      </c>
      <c r="H30" s="21">
        <f t="shared" si="15"/>
        <v>0</v>
      </c>
      <c r="I30" s="21">
        <f t="shared" si="15"/>
        <v>0</v>
      </c>
      <c r="J30" s="21">
        <f t="shared" si="15"/>
        <v>46937.506204519188</v>
      </c>
      <c r="K30" s="21">
        <f t="shared" si="15"/>
        <v>0</v>
      </c>
      <c r="L30" s="21">
        <f t="shared" si="15"/>
        <v>21728.90771966027</v>
      </c>
      <c r="M30" s="21">
        <f t="shared" si="15"/>
        <v>97480.619402517928</v>
      </c>
      <c r="N30" s="13"/>
    </row>
    <row r="31" spans="3:14" x14ac:dyDescent="0.35">
      <c r="C31" s="17" t="s">
        <v>17</v>
      </c>
      <c r="D31" s="21">
        <f>D30+D20</f>
        <v>45000</v>
      </c>
      <c r="E31" s="21">
        <f t="shared" ref="E31:M31" si="16">E30+E20</f>
        <v>47335.368000000002</v>
      </c>
      <c r="F31" s="21">
        <f t="shared" si="16"/>
        <v>54647.577864079998</v>
      </c>
      <c r="G31" s="21">
        <f t="shared" si="16"/>
        <v>154834.23389893997</v>
      </c>
      <c r="H31" s="21">
        <f t="shared" si="16"/>
        <v>69074.258155537522</v>
      </c>
      <c r="I31" s="21">
        <f t="shared" si="16"/>
        <v>69727.779579698225</v>
      </c>
      <c r="J31" s="21">
        <f t="shared" si="16"/>
        <v>120055.15578281632</v>
      </c>
      <c r="K31" s="21">
        <f t="shared" si="16"/>
        <v>82457.245208483902</v>
      </c>
      <c r="L31" s="21">
        <f t="shared" si="16"/>
        <v>114300.44419425617</v>
      </c>
      <c r="M31" s="21">
        <f t="shared" si="16"/>
        <v>204926.34110312292</v>
      </c>
      <c r="N31" s="13"/>
    </row>
    <row r="32" spans="3:14" x14ac:dyDescent="0.35">
      <c r="C32" s="19" t="s">
        <v>7</v>
      </c>
      <c r="D32" s="18">
        <f>+D21-D30</f>
        <v>3944614</v>
      </c>
      <c r="E32" s="18">
        <f t="shared" ref="E32:M32" si="17">+E21-E30</f>
        <v>5464757.7864079997</v>
      </c>
      <c r="F32" s="18">
        <f t="shared" si="17"/>
        <v>5397497.5475728903</v>
      </c>
      <c r="G32" s="18">
        <f t="shared" si="17"/>
        <v>6578500.7767178593</v>
      </c>
      <c r="H32" s="18">
        <f t="shared" si="17"/>
        <v>7151567.1363793053</v>
      </c>
      <c r="I32" s="18">
        <f t="shared" si="17"/>
        <v>6708041.2457153331</v>
      </c>
      <c r="J32" s="18">
        <f t="shared" si="17"/>
        <v>7778985.3970267819</v>
      </c>
      <c r="K32" s="18">
        <f t="shared" si="17"/>
        <v>8611305.7185670603</v>
      </c>
      <c r="L32" s="18">
        <f t="shared" si="17"/>
        <v>9767792.881873183</v>
      </c>
      <c r="M32" s="18">
        <f t="shared" si="17"/>
        <v>11492318.204312233</v>
      </c>
    </row>
    <row r="33" spans="2:14" x14ac:dyDescent="0.35">
      <c r="C33" s="17" t="s">
        <v>50</v>
      </c>
      <c r="D33" s="26">
        <f>+D32/D14-1</f>
        <v>-0.21107719999999996</v>
      </c>
      <c r="E33" s="26">
        <f t="shared" ref="E33:M33" si="18">+E32/E14-1</f>
        <v>0.38537199999999983</v>
      </c>
      <c r="F33" s="26">
        <f t="shared" si="18"/>
        <v>-1.2307999999999986E-2</v>
      </c>
      <c r="G33" s="26">
        <f t="shared" si="18"/>
        <v>0.21880569999999988</v>
      </c>
      <c r="H33" s="26">
        <f t="shared" si="18"/>
        <v>8.7112000000000078E-2</v>
      </c>
      <c r="I33" s="26">
        <f t="shared" si="18"/>
        <v>-6.2018000000000018E-2</v>
      </c>
      <c r="J33" s="26">
        <f t="shared" si="18"/>
        <v>0.15965079999999987</v>
      </c>
      <c r="K33" s="26">
        <f t="shared" si="18"/>
        <v>0.10699600000000009</v>
      </c>
      <c r="L33" s="26">
        <f t="shared" si="18"/>
        <v>0.13429869999999999</v>
      </c>
      <c r="M33" s="26">
        <f t="shared" si="18"/>
        <v>0.17655219999999994</v>
      </c>
      <c r="N33" s="3"/>
    </row>
    <row r="36" spans="2:14" x14ac:dyDescent="0.35">
      <c r="C36" s="3" t="s">
        <v>42</v>
      </c>
    </row>
    <row r="37" spans="2:14" x14ac:dyDescent="0.35">
      <c r="B37" s="4">
        <v>1</v>
      </c>
      <c r="C37" s="28" t="s">
        <v>41</v>
      </c>
      <c r="D37" s="28"/>
      <c r="E37" s="28"/>
      <c r="F37" s="28"/>
      <c r="G37" s="28"/>
      <c r="H37" s="28"/>
      <c r="I37" s="28"/>
      <c r="J37" s="28"/>
      <c r="K37" s="28"/>
    </row>
    <row r="38" spans="2:14" ht="15" customHeight="1" x14ac:dyDescent="0.35">
      <c r="B38" s="4">
        <f>+B37+1</f>
        <v>2</v>
      </c>
      <c r="C38" s="30" t="s">
        <v>33</v>
      </c>
      <c r="D38" s="30"/>
      <c r="E38" s="30"/>
      <c r="F38" s="30"/>
      <c r="G38" s="30"/>
      <c r="H38" s="30"/>
      <c r="I38" s="30"/>
      <c r="J38" s="30"/>
      <c r="K38" s="30"/>
    </row>
    <row r="39" spans="2:14" ht="14.5" customHeight="1" x14ac:dyDescent="0.35">
      <c r="B39" s="4">
        <f t="shared" ref="B39:B50" si="19">+B38+1</f>
        <v>3</v>
      </c>
      <c r="C39" s="30" t="s">
        <v>32</v>
      </c>
      <c r="D39" s="30"/>
      <c r="E39" s="30"/>
      <c r="F39" s="30"/>
      <c r="G39" s="30"/>
      <c r="H39" s="30"/>
      <c r="I39" s="30"/>
      <c r="J39" s="30"/>
      <c r="K39" s="30"/>
    </row>
    <row r="40" spans="2:14" ht="38.5" customHeight="1" x14ac:dyDescent="0.35">
      <c r="B40" s="4">
        <f t="shared" si="19"/>
        <v>4</v>
      </c>
      <c r="C40" s="29" t="s">
        <v>21</v>
      </c>
      <c r="D40" s="29"/>
      <c r="E40" s="29"/>
      <c r="F40" s="29"/>
      <c r="G40" s="29"/>
      <c r="H40" s="29"/>
      <c r="I40" s="29"/>
      <c r="J40" s="29"/>
      <c r="K40" s="29"/>
    </row>
    <row r="41" spans="2:14" ht="14.5" customHeight="1" x14ac:dyDescent="0.35">
      <c r="B41" s="4">
        <f t="shared" si="19"/>
        <v>5</v>
      </c>
      <c r="C41" s="29" t="s">
        <v>45</v>
      </c>
      <c r="D41" s="29"/>
      <c r="E41" s="29"/>
      <c r="F41" s="29"/>
      <c r="G41" s="29"/>
      <c r="H41" s="29"/>
      <c r="I41" s="29"/>
      <c r="J41" s="29"/>
      <c r="K41" s="29"/>
    </row>
    <row r="42" spans="2:14" ht="14.5" customHeight="1" x14ac:dyDescent="0.35">
      <c r="B42" s="4">
        <f t="shared" si="19"/>
        <v>6</v>
      </c>
      <c r="C42" s="29" t="s">
        <v>46</v>
      </c>
      <c r="D42" s="29"/>
      <c r="E42" s="29"/>
      <c r="F42" s="29"/>
      <c r="G42" s="29"/>
      <c r="H42" s="29"/>
      <c r="I42" s="29"/>
      <c r="J42" s="29"/>
      <c r="K42" s="29"/>
    </row>
    <row r="43" spans="2:14" ht="14.5" customHeight="1" x14ac:dyDescent="0.35">
      <c r="B43" s="4">
        <f t="shared" si="19"/>
        <v>7</v>
      </c>
      <c r="C43" s="30" t="s">
        <v>23</v>
      </c>
      <c r="D43" s="30"/>
      <c r="E43" s="30"/>
      <c r="F43" s="30"/>
      <c r="G43" s="30"/>
      <c r="H43" s="30"/>
      <c r="I43" s="30"/>
      <c r="J43" s="30"/>
      <c r="K43" s="30"/>
    </row>
    <row r="44" spans="2:14" ht="29.5" customHeight="1" x14ac:dyDescent="0.35">
      <c r="B44" s="4">
        <f t="shared" si="19"/>
        <v>8</v>
      </c>
      <c r="C44" s="30" t="s">
        <v>43</v>
      </c>
      <c r="D44" s="30"/>
      <c r="E44" s="30"/>
      <c r="F44" s="30"/>
      <c r="G44" s="30"/>
      <c r="H44" s="30"/>
      <c r="I44" s="30"/>
      <c r="J44" s="30"/>
      <c r="K44" s="30"/>
    </row>
    <row r="45" spans="2:14" ht="24" customHeight="1" x14ac:dyDescent="0.35">
      <c r="B45" s="4">
        <f t="shared" si="19"/>
        <v>9</v>
      </c>
      <c r="C45" s="30" t="s">
        <v>44</v>
      </c>
      <c r="D45" s="30"/>
      <c r="E45" s="30"/>
      <c r="F45" s="30"/>
      <c r="G45" s="30"/>
      <c r="H45" s="30"/>
      <c r="I45" s="30"/>
      <c r="J45" s="30"/>
      <c r="K45" s="30"/>
    </row>
    <row r="46" spans="2:14" ht="31" customHeight="1" x14ac:dyDescent="0.35">
      <c r="B46" s="4">
        <f t="shared" si="19"/>
        <v>10</v>
      </c>
      <c r="C46" s="32" t="s">
        <v>49</v>
      </c>
      <c r="D46" s="32"/>
      <c r="E46" s="32"/>
      <c r="F46" s="32"/>
      <c r="G46" s="32"/>
      <c r="H46" s="32"/>
      <c r="I46" s="32"/>
      <c r="J46" s="32"/>
      <c r="K46" s="32"/>
    </row>
    <row r="47" spans="2:14" ht="14.5" customHeight="1" x14ac:dyDescent="0.35">
      <c r="B47" s="4">
        <f t="shared" si="19"/>
        <v>11</v>
      </c>
      <c r="C47" s="30" t="s">
        <v>35</v>
      </c>
      <c r="D47" s="30"/>
      <c r="E47" s="30"/>
      <c r="F47" s="30"/>
      <c r="G47" s="30"/>
      <c r="H47" s="30"/>
      <c r="I47" s="30"/>
      <c r="J47" s="30"/>
      <c r="K47" s="30"/>
      <c r="L47" s="14"/>
      <c r="M47" s="14"/>
    </row>
    <row r="48" spans="2:14" ht="32" customHeight="1" x14ac:dyDescent="0.35">
      <c r="B48" s="4">
        <f t="shared" si="19"/>
        <v>12</v>
      </c>
      <c r="C48" s="30" t="s">
        <v>34</v>
      </c>
      <c r="D48" s="30"/>
      <c r="E48" s="30"/>
      <c r="F48" s="30"/>
      <c r="G48" s="30"/>
      <c r="H48" s="30"/>
      <c r="I48" s="30"/>
      <c r="J48" s="30"/>
      <c r="K48" s="30"/>
      <c r="L48" s="14"/>
      <c r="M48" s="14"/>
    </row>
    <row r="49" spans="2:11" x14ac:dyDescent="0.35">
      <c r="B49" s="4">
        <f t="shared" si="19"/>
        <v>13</v>
      </c>
      <c r="C49" s="28" t="s">
        <v>40</v>
      </c>
      <c r="D49" s="28"/>
      <c r="E49" s="28"/>
      <c r="F49" s="28"/>
      <c r="G49" s="28"/>
      <c r="H49" s="28"/>
      <c r="I49" s="28"/>
      <c r="J49" s="28"/>
      <c r="K49" s="28"/>
    </row>
    <row r="50" spans="2:11" x14ac:dyDescent="0.35">
      <c r="B50" s="4">
        <f t="shared" si="19"/>
        <v>14</v>
      </c>
      <c r="C50" s="31" t="s">
        <v>29</v>
      </c>
      <c r="D50" s="31"/>
      <c r="E50" s="31"/>
      <c r="F50" s="31"/>
      <c r="G50" s="31"/>
      <c r="H50" s="31"/>
      <c r="I50" s="31"/>
      <c r="J50" s="31"/>
      <c r="K50" s="31"/>
    </row>
  </sheetData>
  <mergeCells count="17">
    <mergeCell ref="C1:M1"/>
    <mergeCell ref="C2:M2"/>
    <mergeCell ref="E5:G7"/>
    <mergeCell ref="C37:K37"/>
    <mergeCell ref="C49:K49"/>
    <mergeCell ref="C50:K50"/>
    <mergeCell ref="C47:K47"/>
    <mergeCell ref="C48:K48"/>
    <mergeCell ref="C38:K38"/>
    <mergeCell ref="C39:K39"/>
    <mergeCell ref="C40:K40"/>
    <mergeCell ref="C41:K41"/>
    <mergeCell ref="C42:K42"/>
    <mergeCell ref="C43:K43"/>
    <mergeCell ref="C44:K44"/>
    <mergeCell ref="C45:K45"/>
    <mergeCell ref="C46:K4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c6a0980-7a51-4c9c-91c0-032850369c05">
      <Terms xmlns="http://schemas.microsoft.com/office/infopath/2007/PartnerControls"/>
    </lcf76f155ced4ddcb4097134ff3c332f>
    <TaxCatchAll xmlns="031f7b35-35a8-4288-a9fc-13fc3394a6b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2F658CFCA1C2444B3A41FBEDE590EF1" ma:contentTypeVersion="15" ma:contentTypeDescription="Create a new document." ma:contentTypeScope="" ma:versionID="47fb2082d1c1bc8e19b81f470c6d502c">
  <xsd:schema xmlns:xsd="http://www.w3.org/2001/XMLSchema" xmlns:xs="http://www.w3.org/2001/XMLSchema" xmlns:p="http://schemas.microsoft.com/office/2006/metadata/properties" xmlns:ns2="1c6a0980-7a51-4c9c-91c0-032850369c05" xmlns:ns3="031f7b35-35a8-4288-a9fc-13fc3394a6b1" targetNamespace="http://schemas.microsoft.com/office/2006/metadata/properties" ma:root="true" ma:fieldsID="c7ce6785c0261bd6092b83dbb4f7f58b" ns2:_="" ns3:_="">
    <xsd:import namespace="1c6a0980-7a51-4c9c-91c0-032850369c05"/>
    <xsd:import namespace="031f7b35-35a8-4288-a9fc-13fc3394a6b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6a0980-7a51-4c9c-91c0-032850369c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bb7a4f7-5c1b-4f5d-9bda-ed4f527c386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31f7b35-35a8-4288-a9fc-13fc3394a6b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e81be328-53cc-411c-8431-0562e110e4d4}" ma:internalName="TaxCatchAll" ma:showField="CatchAllData" ma:web="031f7b35-35a8-4288-a9fc-13fc3394a6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3B98C6-6675-465F-A72B-E9A8074D1D05}">
  <ds:schemaRefs>
    <ds:schemaRef ds:uri="http://schemas.microsoft.com/sharepoint/v3/contenttype/forms"/>
  </ds:schemaRefs>
</ds:datastoreItem>
</file>

<file path=customXml/itemProps2.xml><?xml version="1.0" encoding="utf-8"?>
<ds:datastoreItem xmlns:ds="http://schemas.openxmlformats.org/officeDocument/2006/customXml" ds:itemID="{F47A6F91-C105-409E-9ED0-18B7240B17EC}">
  <ds:schemaRefs>
    <ds:schemaRef ds:uri="http://schemas.microsoft.com/office/2006/metadata/properties"/>
    <ds:schemaRef ds:uri="http://schemas.microsoft.com/office/infopath/2007/PartnerControls"/>
    <ds:schemaRef ds:uri="1c6a0980-7a51-4c9c-91c0-032850369c05"/>
    <ds:schemaRef ds:uri="031f7b35-35a8-4288-a9fc-13fc3394a6b1"/>
  </ds:schemaRefs>
</ds:datastoreItem>
</file>

<file path=customXml/itemProps3.xml><?xml version="1.0" encoding="utf-8"?>
<ds:datastoreItem xmlns:ds="http://schemas.openxmlformats.org/officeDocument/2006/customXml" ds:itemID="{3B535FF2-79E8-4815-A868-F7EA1BB6E7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6a0980-7a51-4c9c-91c0-032850369c05"/>
    <ds:schemaRef ds:uri="031f7b35-35a8-4288-a9fc-13fc3394a6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Coffee Can fees</vt:lpstr>
      <vt:lpstr>Fee Calculator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sumitb</dc:creator>
  <cp:lastModifiedBy>Kapildev Verma</cp:lastModifiedBy>
  <dcterms:created xsi:type="dcterms:W3CDTF">2018-04-13T09:28:43Z</dcterms:created>
  <dcterms:modified xsi:type="dcterms:W3CDTF">2024-09-23T10:12:55Z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0x01010072F658CFCA1C2444B3A41FBEDE590EF1</vt:lpwstr>
  </property>
  <property fmtid="{D5CDD505-2E9C-101B-9397-08002B2CF9AE}" pid="3" name="MediaServiceImageTags">
    <vt:lpwstr/>
  </property>
</Properties>
</file>